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English" sheetId="1" r:id="rId1"/>
  </sheets>
  <definedNames>
    <definedName name="_xlnm.Print_Area" localSheetId="0">'English'!$A$1:$C$46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<sst xmlns="http://schemas.openxmlformats.org/spreadsheetml/2006/main" count="48" uniqueCount="47">
  <si>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 </t>
  </si>
  <si>
    <t>Type institution, location, time, date, or other optional data; in light shaded box below:</t>
  </si>
  <si>
    <t>Barometer reading, type in light shaded box at right</t>
  </si>
  <si>
    <t>Temperature of barometer, type in light shaded box</t>
  </si>
  <si>
    <t>Normal data settings, type in light shaded boxes:</t>
  </si>
  <si>
    <t>Reading units (in., in, cm, mm, mb, kPa)</t>
  </si>
  <si>
    <t>in.</t>
  </si>
  <si>
    <t>Certificate correction if any, + or -</t>
  </si>
  <si>
    <t>Temperature units (F, C)</t>
  </si>
  <si>
    <t>F</t>
  </si>
  <si>
    <t>Latitude, degrees N or S</t>
  </si>
  <si>
    <t xml:space="preserve"> °</t>
  </si>
  <si>
    <t>True altitude</t>
  </si>
  <si>
    <t>Altitude units (feet, meters, metres)</t>
  </si>
  <si>
    <t>feet</t>
  </si>
  <si>
    <t>Barometer scale system of units, English or metric</t>
  </si>
  <si>
    <t>Coefficient of volume thermal expansion of mercury, M</t>
  </si>
  <si>
    <t>Coefficient of linear thermal expansion of brass, L</t>
  </si>
  <si>
    <t>Temperature, in the barometer scale system of units, t</t>
  </si>
  <si>
    <t xml:space="preserve">  1. Barometer reading and temperature</t>
  </si>
  <si>
    <t xml:space="preserve">  2. Certificate correction if any, + or -</t>
  </si>
  <si>
    <t xml:space="preserve">  3. Certificate corrected reading</t>
  </si>
  <si>
    <t xml:space="preserve">  4a. Temperature correction, not rounded</t>
  </si>
  <si>
    <t xml:space="preserve">  4. Correction for temperature</t>
  </si>
  <si>
    <t xml:space="preserve">  5. Temperature corrected reading</t>
  </si>
  <si>
    <t xml:space="preserve">  6a. Gravity correction, not rounded</t>
  </si>
  <si>
    <t xml:space="preserve">  6. Correction for gravity, + or -</t>
  </si>
  <si>
    <t xml:space="preserve">  7a. Local station pressure, not rounded</t>
  </si>
  <si>
    <t xml:space="preserve">  8a. Pressure altitude, not rounded</t>
  </si>
  <si>
    <t xml:space="preserve">  8. Pressure altitude</t>
  </si>
  <si>
    <t xml:space="preserve">  9. Minus (-) the true altitude</t>
  </si>
  <si>
    <t>10a. Pressure altitude differential, + or -, not rounded</t>
  </si>
  <si>
    <t>10. Pressure altitude differential, + or -</t>
  </si>
  <si>
    <t>©PRINCO INSTRUMENTS, INC. 1999</t>
  </si>
  <si>
    <r>
      <t xml:space="preserve">English
MS Excel 2000 Spreadsheet for
</t>
    </r>
    <r>
      <rPr>
        <b/>
        <i/>
        <sz val="20"/>
        <rFont val="Times New Roman"/>
        <family val="1"/>
      </rPr>
      <t>Automatic Barometer Corrections</t>
    </r>
  </si>
  <si>
    <r>
      <t xml:space="preserve">Courtesy of </t>
    </r>
    <r>
      <rPr>
        <b/>
        <i/>
        <sz val="10"/>
        <color indexed="53"/>
        <rFont val="Arial"/>
        <family val="2"/>
      </rPr>
      <t>Princo</t>
    </r>
    <r>
      <rPr>
        <i/>
        <sz val="10"/>
        <rFont val="Arial"/>
        <family val="2"/>
      </rPr>
      <t xml:space="preserve"> Instruments, Inc.
Manufacturer of level and density controls, barometers and thermometers.</t>
    </r>
  </si>
  <si>
    <r>
      <t>Visit our web site at:</t>
    </r>
    <r>
      <rPr>
        <sz val="10"/>
        <rFont val="Arial"/>
        <family val="2"/>
      </rPr>
      <t xml:space="preserve">  http://www.princoinstruments.com</t>
    </r>
  </si>
  <si>
    <r>
      <t>Input Data Field</t>
    </r>
    <r>
      <rPr>
        <sz val="10"/>
        <rFont val="Arial"/>
        <family val="2"/>
      </rPr>
      <t xml:space="preserve"> (type data in light shaded boxes)</t>
    </r>
  </si>
  <si>
    <r>
      <t>XYZ Barometric Service</t>
    </r>
    <r>
      <rPr>
        <sz val="10"/>
        <color indexed="61"/>
        <rFont val="Arial"/>
        <family val="2"/>
      </rPr>
      <t xml:space="preserve">
1 Your Street, Any Town, ST ZIP+4 U.S.A.</t>
    </r>
    <r>
      <rPr>
        <sz val="10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 10:33 pm 19 August 1999 </t>
    </r>
  </si>
  <si>
    <r>
      <t>Results Field</t>
    </r>
    <r>
      <rPr>
        <sz val="10"/>
        <rFont val="Arial"/>
        <family val="2"/>
      </rPr>
      <t xml:space="preserve"> (automatically computed)</t>
    </r>
  </si>
  <si>
    <r>
      <t>Standard temperature for the barometer scales, t</t>
    </r>
    <r>
      <rPr>
        <vertAlign val="subscript"/>
        <sz val="10"/>
        <rFont val="Arial"/>
        <family val="2"/>
      </rPr>
      <t>s</t>
    </r>
  </si>
  <si>
    <r>
      <t>Standard temperature for the density of mercury, t</t>
    </r>
    <r>
      <rPr>
        <vertAlign val="subscript"/>
        <sz val="10"/>
        <rFont val="Arial"/>
        <family val="2"/>
      </rPr>
      <t>m</t>
    </r>
  </si>
  <si>
    <r>
      <t>Standard pressure at sea level, p</t>
    </r>
    <r>
      <rPr>
        <vertAlign val="subscript"/>
        <sz val="10"/>
        <rFont val="Arial"/>
        <family val="2"/>
      </rPr>
      <t>0</t>
    </r>
  </si>
  <si>
    <r>
      <t>Multiplier for temperature correction, M</t>
    </r>
    <r>
      <rPr>
        <vertAlign val="subscript"/>
        <sz val="10"/>
        <rFont val="Arial"/>
        <family val="2"/>
      </rPr>
      <t>tc</t>
    </r>
  </si>
  <si>
    <r>
      <t>Multiplier for gravity correction, M</t>
    </r>
    <r>
      <rPr>
        <vertAlign val="subscript"/>
        <sz val="10"/>
        <rFont val="Arial"/>
        <family val="2"/>
      </rPr>
      <t>gc</t>
    </r>
  </si>
  <si>
    <r>
      <t xml:space="preserve"> </t>
    </r>
    <r>
      <rPr>
        <sz val="10"/>
        <rFont val="Arial"/>
        <family val="2"/>
      </rPr>
      <t xml:space="preserve"> 7. </t>
    </r>
    <r>
      <rPr>
        <b/>
        <sz val="11"/>
        <rFont val="Arial"/>
        <family val="2"/>
      </rPr>
      <t>Local station pressure</t>
    </r>
  </si>
  <si>
    <r>
      <t xml:space="preserve">11. </t>
    </r>
    <r>
      <rPr>
        <b/>
        <sz val="11"/>
        <rFont val="Arial"/>
        <family val="2"/>
      </rPr>
      <t>Sea level pressure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</si>
</sst>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00"/>
    <numFmt numFmtId="167" formatCode="0.000000"/>
    <numFmt numFmtId="168" formatCode="#,##0.0000000"/>
    <numFmt numFmtId="169" formatCode="#,##0.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0"/>
      <name val="Times New Roman"/>
      <family val="1"/>
    </font>
    <font>
      <b/>
      <sz val="16"/>
      <name val="Arial"/>
      <family val="2"/>
    </font>
    <font>
      <b/>
      <i/>
      <sz val="10"/>
      <color indexed="53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6" fillId="0" borderId="4" xfId="2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indent="1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left" indent="1"/>
    </xf>
    <xf numFmtId="0" fontId="10" fillId="3" borderId="0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/>
      <protection hidden="1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left" indent="1"/>
    </xf>
    <xf numFmtId="0" fontId="9" fillId="3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left" indent="1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/>
      <protection hidden="1"/>
    </xf>
    <xf numFmtId="168" fontId="13" fillId="0" borderId="0" xfId="0" applyNumberFormat="1" applyFont="1" applyBorder="1" applyAlignment="1" applyProtection="1">
      <alignment horizontal="right"/>
      <protection hidden="1"/>
    </xf>
    <xf numFmtId="0" fontId="13" fillId="0" borderId="5" xfId="0" applyFont="1" applyBorder="1" applyAlignment="1" applyProtection="1">
      <alignment horizontal="right"/>
      <protection hidden="1"/>
    </xf>
    <xf numFmtId="0" fontId="0" fillId="0" borderId="4" xfId="0" applyBorder="1" applyAlignment="1">
      <alignment horizontal="left" vertical="center" indent="1"/>
    </xf>
    <xf numFmtId="168" fontId="0" fillId="0" borderId="0" xfId="0" applyNumberFormat="1" applyFont="1" applyBorder="1" applyAlignment="1" applyProtection="1">
      <alignment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5" xfId="0" applyFont="1" applyBorder="1" applyAlignment="1" applyProtection="1">
      <alignment horizontal="left"/>
      <protection hidden="1"/>
    </xf>
    <xf numFmtId="166" fontId="0" fillId="0" borderId="0" xfId="0" applyNumberFormat="1" applyFont="1" applyBorder="1" applyAlignment="1" applyProtection="1">
      <alignment/>
      <protection hidden="1"/>
    </xf>
    <xf numFmtId="167" fontId="0" fillId="0" borderId="0" xfId="0" applyNumberFormat="1" applyFont="1" applyBorder="1" applyAlignment="1" applyProtection="1">
      <alignment/>
      <protection hidden="1"/>
    </xf>
    <xf numFmtId="167" fontId="0" fillId="0" borderId="5" xfId="0" applyNumberFormat="1" applyBorder="1" applyAlignment="1" applyProtection="1">
      <alignment/>
      <protection hidden="1"/>
    </xf>
    <xf numFmtId="0" fontId="0" fillId="0" borderId="4" xfId="0" applyBorder="1" applyAlignment="1">
      <alignment horizontal="left" indent="2"/>
    </xf>
    <xf numFmtId="0" fontId="15" fillId="0" borderId="0" xfId="0" applyNumberFormat="1" applyFont="1" applyBorder="1" applyAlignment="1" applyProtection="1">
      <alignment/>
      <protection hidden="1"/>
    </xf>
    <xf numFmtId="0" fontId="15" fillId="0" borderId="5" xfId="0" applyFont="1" applyBorder="1" applyAlignment="1" applyProtection="1">
      <alignment/>
      <protection hidden="1"/>
    </xf>
    <xf numFmtId="0" fontId="16" fillId="0" borderId="0" xfId="0" applyNumberFormat="1" applyFont="1" applyBorder="1" applyAlignment="1" applyProtection="1">
      <alignment/>
      <protection hidden="1"/>
    </xf>
    <xf numFmtId="0" fontId="15" fillId="0" borderId="5" xfId="0" applyFont="1" applyBorder="1" applyAlignment="1" applyProtection="1">
      <alignment horizontal="left"/>
      <protection hidden="1"/>
    </xf>
    <xf numFmtId="0" fontId="0" fillId="0" borderId="4" xfId="0" applyFont="1" applyBorder="1" applyAlignment="1">
      <alignment horizontal="left" indent="2"/>
    </xf>
    <xf numFmtId="0" fontId="17" fillId="0" borderId="4" xfId="0" applyFont="1" applyBorder="1" applyAlignment="1">
      <alignment horizontal="left" indent="2"/>
    </xf>
    <xf numFmtId="0" fontId="18" fillId="0" borderId="0" xfId="0" applyNumberFormat="1" applyFont="1" applyBorder="1" applyAlignment="1" applyProtection="1">
      <alignment/>
      <protection hidden="1"/>
    </xf>
    <xf numFmtId="0" fontId="18" fillId="0" borderId="5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 horizontal="right"/>
      <protection hidden="1"/>
    </xf>
    <xf numFmtId="0" fontId="19" fillId="0" borderId="6" xfId="0" applyFont="1" applyBorder="1" applyAlignment="1">
      <alignment horizontal="left" inden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0</xdr:row>
      <xdr:rowOff>0</xdr:rowOff>
    </xdr:from>
    <xdr:to>
      <xdr:col>2</xdr:col>
      <xdr:colOff>1047750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304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showGridLines="0" tabSelected="1" workbookViewId="0" topLeftCell="A1">
      <selection activeCell="E2" sqref="E2"/>
    </sheetView>
  </sheetViews>
  <sheetFormatPr defaultColWidth="9.140625" defaultRowHeight="12.75"/>
  <cols>
    <col min="1" max="1" width="47.7109375" style="0" customWidth="1"/>
    <col min="2" max="2" width="9.7109375" style="0" customWidth="1"/>
    <col min="3" max="3" width="15.7109375" style="0" customWidth="1"/>
  </cols>
  <sheetData>
    <row r="1" spans="1:3" ht="75" customHeight="1">
      <c r="A1" s="1" t="s">
        <v>34</v>
      </c>
      <c r="B1" s="2"/>
      <c r="C1" s="3"/>
    </row>
    <row r="2" spans="1:3" ht="33" customHeight="1">
      <c r="A2" s="4" t="s">
        <v>35</v>
      </c>
      <c r="B2" s="5"/>
      <c r="C2" s="6"/>
    </row>
    <row r="3" spans="1:3" ht="15" customHeight="1">
      <c r="A3" s="7" t="s">
        <v>36</v>
      </c>
      <c r="B3" s="8"/>
      <c r="C3" s="6"/>
    </row>
    <row r="4" spans="1:3" ht="6.75" customHeight="1">
      <c r="A4" s="9" t="s">
        <v>0</v>
      </c>
      <c r="B4" s="10"/>
      <c r="C4" s="11"/>
    </row>
    <row r="5" spans="1:3" ht="19.5" customHeight="1">
      <c r="A5" s="12" t="s">
        <v>37</v>
      </c>
      <c r="B5" s="13"/>
      <c r="C5" s="14"/>
    </row>
    <row r="6" spans="1:3" ht="19.5" customHeight="1">
      <c r="A6" s="15" t="s">
        <v>1</v>
      </c>
      <c r="B6" s="5"/>
      <c r="C6" s="6"/>
    </row>
    <row r="7" spans="1:3" ht="3" customHeight="1">
      <c r="A7" s="16" t="s">
        <v>0</v>
      </c>
      <c r="B7" s="17"/>
      <c r="C7" s="18"/>
    </row>
    <row r="8" spans="1:3" ht="45" customHeight="1">
      <c r="A8" s="19" t="s">
        <v>38</v>
      </c>
      <c r="B8" s="8"/>
      <c r="C8" s="6"/>
    </row>
    <row r="9" spans="1:3" ht="6" customHeight="1">
      <c r="A9" s="20"/>
      <c r="B9" s="21"/>
      <c r="C9" s="22"/>
    </row>
    <row r="10" spans="1:3" ht="13.5" customHeight="1">
      <c r="A10" s="23" t="s">
        <v>2</v>
      </c>
      <c r="B10" s="24">
        <v>29.298</v>
      </c>
      <c r="C10" s="25" t="str">
        <f>IF(B$13="mb"," "&amp;B$13&amp;" @ "&amp;B$11&amp;"°"&amp;B$15,IF(B$13="kPa"," "&amp;B$13&amp;" @ "&amp;B$11&amp;"°"&amp;B$15," "&amp;B$13&amp;" Hg @ "&amp;B$11&amp;"°"&amp;B$15))</f>
        <v> in. Hg @ 72.5°F</v>
      </c>
    </row>
    <row r="11" spans="1:3" ht="13.5" customHeight="1">
      <c r="A11" s="23" t="s">
        <v>3</v>
      </c>
      <c r="B11" s="24">
        <v>72.5</v>
      </c>
      <c r="C11" s="25" t="str">
        <f>" °"&amp;B$15</f>
        <v> °F</v>
      </c>
    </row>
    <row r="12" spans="1:3" ht="13.5" customHeight="1">
      <c r="A12" s="23" t="s">
        <v>4</v>
      </c>
      <c r="B12" s="26"/>
      <c r="C12" s="25"/>
    </row>
    <row r="13" spans="1:3" ht="13.5" customHeight="1">
      <c r="A13" s="27" t="s">
        <v>5</v>
      </c>
      <c r="B13" s="28" t="s">
        <v>6</v>
      </c>
      <c r="C13" s="25"/>
    </row>
    <row r="14" spans="1:3" ht="13.5" customHeight="1">
      <c r="A14" s="27" t="s">
        <v>7</v>
      </c>
      <c r="B14" s="28">
        <v>-0.004</v>
      </c>
      <c r="C14" s="25" t="str">
        <f>" "&amp;B$13</f>
        <v> in.</v>
      </c>
    </row>
    <row r="15" spans="1:3" ht="13.5" customHeight="1">
      <c r="A15" s="27" t="s">
        <v>8</v>
      </c>
      <c r="B15" s="28" t="s">
        <v>9</v>
      </c>
      <c r="C15" s="25"/>
    </row>
    <row r="16" spans="1:3" ht="13.5" customHeight="1">
      <c r="A16" s="27" t="s">
        <v>10</v>
      </c>
      <c r="B16" s="28">
        <v>40.2</v>
      </c>
      <c r="C16" s="25" t="s">
        <v>11</v>
      </c>
    </row>
    <row r="17" spans="1:3" ht="13.5" customHeight="1">
      <c r="A17" s="27" t="s">
        <v>12</v>
      </c>
      <c r="B17" s="28">
        <v>243</v>
      </c>
      <c r="C17" s="25" t="str">
        <f>" "&amp;B$18</f>
        <v> feet</v>
      </c>
    </row>
    <row r="18" spans="1:3" ht="13.5" customHeight="1">
      <c r="A18" s="27" t="s">
        <v>13</v>
      </c>
      <c r="B18" s="28" t="s">
        <v>14</v>
      </c>
      <c r="C18" s="25"/>
    </row>
    <row r="19" spans="1:3" ht="6" customHeight="1">
      <c r="A19" s="27"/>
      <c r="B19" s="29"/>
      <c r="C19" s="25"/>
    </row>
    <row r="20" spans="1:3" ht="19.5" customHeight="1">
      <c r="A20" s="30" t="s">
        <v>39</v>
      </c>
      <c r="B20" s="31"/>
      <c r="C20" s="32"/>
    </row>
    <row r="21" spans="1:3" ht="19.5" customHeight="1">
      <c r="A21" s="23" t="s">
        <v>15</v>
      </c>
      <c r="B21" s="33" t="str">
        <f>IF(B$13="in.","English",IF(B$13="in","English","metric"))</f>
        <v>English</v>
      </c>
      <c r="C21" s="34"/>
    </row>
    <row r="22" spans="1:3" ht="12.75" customHeight="1">
      <c r="A22" s="35" t="s">
        <v>16</v>
      </c>
      <c r="B22" s="36">
        <f>IF(B$13="in.",0.000101,IF(B$13="in",0.000101,0.0001818))</f>
        <v>0.000101</v>
      </c>
      <c r="C22" s="37" t="str">
        <f>IF(B$13="in.","in.³/in.³°F",IF(B$13="in","in³/in³°F","m³/m³°C"))</f>
        <v>in.³/in.³°F</v>
      </c>
    </row>
    <row r="23" spans="1:3" ht="12.75" customHeight="1">
      <c r="A23" s="35" t="s">
        <v>17</v>
      </c>
      <c r="B23" s="36">
        <f>IF(B$13="in.",0.0000102,IF(B$13="in",0.0000102,0.0000184))</f>
        <v>1.02E-05</v>
      </c>
      <c r="C23" s="37" t="str">
        <f>IF(B$13="in.","in./in.°F",IF(B$13="in","in/in°F","m/m°C"))</f>
        <v>in./in.°F</v>
      </c>
    </row>
    <row r="24" spans="1:3" ht="12.75" customHeight="1">
      <c r="A24" s="35" t="s">
        <v>18</v>
      </c>
      <c r="B24" s="38">
        <f>IF(B$13="in.",IF(B$15="F",B$11,IF(B$15="C",32+B$11*9/5," ")),IF(B$13="in",IF(B$15="F",B$11,IF(B$15="C",32+B$11*9/5," ")),IF(B$15="C",B$11,IF(B$15="F",(B$11-32)*5/9," "))))</f>
        <v>72.5</v>
      </c>
      <c r="C24" s="37" t="str">
        <f>IF(B$13="in.",IF(B$15="F","°F",IF(B$15="C","°F","°F")),IF(B$13="in",IF(B$15="F","°F",IF(B$15="C","°F","°F")),IF(B$15="C","°C",IF(B$15="F","°C","°C"))))</f>
        <v>°F</v>
      </c>
    </row>
    <row r="25" spans="1:3" ht="12.75" customHeight="1">
      <c r="A25" s="35" t="s">
        <v>40</v>
      </c>
      <c r="B25" s="38">
        <f>IF(B$13="in.",IF(B$15="F",62,IF(B$15="C",62,62)),IF(B$13="in",IF(B$15="F",62,IF(B$15="C",62,62)),IF(B$15="C",0,IF(B$15="F",0,0))))</f>
        <v>62</v>
      </c>
      <c r="C25" s="37" t="str">
        <f>IF(B$13="in.",IF(B$15="F","°F",IF(B$15="C","°F","°F")),IF(B$13="in",IF(B$15="F","°F",IF(B$15="C","°F","°F")),IF(B$15="C","°C",IF(B$15="F","°C","°C"))))</f>
        <v>°F</v>
      </c>
    </row>
    <row r="26" spans="1:3" ht="12.75" customHeight="1">
      <c r="A26" s="35" t="s">
        <v>41</v>
      </c>
      <c r="B26" s="38">
        <f>IF(B$13="in.",IF(B$15="F",32,IF(B$15="C",32,32)),IF(B$13="in",IF(B$15="F",32,IF(B$15="C",32,32)),IF(B$15="C",0,IF(B$15="F",0,0))))</f>
        <v>32</v>
      </c>
      <c r="C26" s="37" t="str">
        <f>IF(B$13="in.",IF(B$15="F","°F",IF(B$15="C","°F","°F")),IF(B$13="in",IF(B$15="F","°F",IF(B$15="C","°F","°F")),IF(B$15="C","°C",IF(B$15="F","°C","°C"))))</f>
        <v>°F</v>
      </c>
    </row>
    <row r="27" spans="1:3" ht="12.75" customHeight="1">
      <c r="A27" s="35" t="s">
        <v>42</v>
      </c>
      <c r="B27" s="38">
        <f>IF(B$13="in.",29.921,IF(B$13="in",29.921,IF(B$13="cm",76,IF(B$13="mb",1013.25,IF(B$13="kPa",101.325,IF(B$13="kPa",101.325,IF(B$13="mm",760,"")))))))</f>
        <v>29.921</v>
      </c>
      <c r="C27" s="39" t="str">
        <f>IF(B$13="in.","in. Hg @ 32°F",IF(B$13="in","in Hg @ 32°F",IF(B$13="mb",B$13,IF(B$13="kPa",B$13,B$13&amp;" Hg @ 0°C"))))</f>
        <v>in. Hg @ 32°F</v>
      </c>
    </row>
    <row r="28" spans="1:3" ht="12.75" customHeight="1">
      <c r="A28" s="35" t="s">
        <v>43</v>
      </c>
      <c r="B28" s="40">
        <f>((1+B$23*(B$24-B$25))/(1+B$22*(B$24-B$26))-1)</f>
        <v>-0.00396717228178145</v>
      </c>
      <c r="C28" s="25" t="str">
        <f>B$13&amp;"/"&amp;B$13</f>
        <v>in./in.</v>
      </c>
    </row>
    <row r="29" spans="1:3" ht="12.75" customHeight="1">
      <c r="A29" s="35" t="s">
        <v>44</v>
      </c>
      <c r="B29" s="41">
        <f>((1-0.0026373*COS(B$16*PI()/90)+0.0000059*COS(B$16*PI()/90)^2)*980.616/980.665-1)</f>
        <v>-0.0004895992525928428</v>
      </c>
      <c r="C29" s="42" t="str">
        <f>B$13&amp;"/"&amp;B$13</f>
        <v>in./in.</v>
      </c>
    </row>
    <row r="30" spans="1:3" ht="16.5" customHeight="1">
      <c r="A30" s="43" t="s">
        <v>19</v>
      </c>
      <c r="B30" s="44">
        <f>B$10</f>
        <v>29.298</v>
      </c>
      <c r="C30" s="45" t="str">
        <f>IF(B$13="mb",B$13&amp;" @ "&amp;B$11&amp;"°"&amp;B$15,IF(B$13="kPa",B$13&amp;" @ "&amp;B$11&amp;"°"&amp;B$15,B$13&amp;" Hg @ "&amp;B$11&amp;"°"&amp;B$15))</f>
        <v>in. Hg @ 72.5°F</v>
      </c>
    </row>
    <row r="31" spans="1:3" ht="12.75" customHeight="1">
      <c r="A31" s="43" t="s">
        <v>20</v>
      </c>
      <c r="B31" s="46">
        <f>B$14</f>
        <v>-0.004</v>
      </c>
      <c r="C31" s="45" t="str">
        <f>B$13</f>
        <v>in.</v>
      </c>
    </row>
    <row r="32" spans="1:3" ht="12.75" customHeight="1">
      <c r="A32" s="43" t="s">
        <v>21</v>
      </c>
      <c r="B32" s="44">
        <f>+B$30+B$31</f>
        <v>29.293999999999997</v>
      </c>
      <c r="C32" s="45" t="str">
        <f>IF(B$13="mb",B$13&amp;" @ "&amp;B$11&amp;"°"&amp;B$15,IF(B$13="kPa",B$13&amp;" @ "&amp;B$11&amp;"°"&amp;B$15,B$13&amp;" Hg @ "&amp;B$11&amp;"°"&amp;B$15))</f>
        <v>in. Hg @ 72.5°F</v>
      </c>
    </row>
    <row r="33" spans="1:3" ht="0.75" customHeight="1">
      <c r="A33" s="43" t="s">
        <v>22</v>
      </c>
      <c r="B33" s="44">
        <f>((1+B$23*(B$24-B$25))/(1+B$22*(B$24-B$26))-1)*B$32</f>
        <v>-0.1162143448225058</v>
      </c>
      <c r="C33" s="45" t="str">
        <f>B$13</f>
        <v>in.</v>
      </c>
    </row>
    <row r="34" spans="1:3" ht="12.75" customHeight="1">
      <c r="A34" s="43" t="s">
        <v>23</v>
      </c>
      <c r="B34" s="46">
        <f>IF(B$13="mm",ROUND(((1+B$23*(B$24-B$25))/(1+B$22*(B$24-B$26))-1)*B$32,2),IF(B$13="mb",ROUND(((1+B$23*(B$24-B$25))/(1+B$22*(B$24-B$26))-1)*B$32,2),ROUND(((1+B$23*(B$24-B$25))/(1+B$22*(B$24-B$26))-1)*B$32,3)))</f>
        <v>-0.116</v>
      </c>
      <c r="C34" s="45" t="str">
        <f>B$13</f>
        <v>in.</v>
      </c>
    </row>
    <row r="35" spans="1:3" ht="12.75" customHeight="1">
      <c r="A35" s="43" t="s">
        <v>24</v>
      </c>
      <c r="B35" s="44">
        <f>B$32+B$34</f>
        <v>29.177999999999997</v>
      </c>
      <c r="C35" s="47" t="str">
        <f>IF(B$13="in.","in. Hg @ 32°F",IF(B$13="in","in Hg @ 32°F",IF(B$13="mb",B$13&amp;" @ 0°C",IF(B$13="kPa",B$13&amp;" @ 0°C",B$13&amp;" Hg @ 0°C"))))</f>
        <v>in. Hg @ 32°F</v>
      </c>
    </row>
    <row r="36" spans="1:3" ht="0.75" customHeight="1">
      <c r="A36" s="43" t="s">
        <v>25</v>
      </c>
      <c r="B36" s="44">
        <f>((1-0.0026373*COS(B$16*PI()/90)+0.0000059*COS(B$16*PI()/90)^2)*980.616/980.665-1)*B$35</f>
        <v>-0.014285526992153965</v>
      </c>
      <c r="C36" s="45" t="str">
        <f>B$13</f>
        <v>in.</v>
      </c>
    </row>
    <row r="37" spans="1:3" ht="12" customHeight="1">
      <c r="A37" s="43" t="s">
        <v>26</v>
      </c>
      <c r="B37" s="46">
        <f>IF(B$13="mm",ROUND(((1-0.0026373*COS(B$16*PI()/90)+0.0000059*COS(B$16*PI()/90)^2)*980.616/980.665-1)*B$35,2),IF(B$13="mb",ROUND(((1-0.0026373*COS(B$16*PI()/90)+0.0000059*COS(B$16*PI()/90)^2)*980.616/980.665-1)*B$35,2),ROUND(((1-0.0026373*COS(B$16*PI()/90)+0.0000059*COS(B$16*PI()/90)^2)*980.616/980.665-1)*B$35,3)))</f>
        <v>-0.014</v>
      </c>
      <c r="C37" s="45" t="str">
        <f>B$13</f>
        <v>in.</v>
      </c>
    </row>
    <row r="38" spans="1:3" ht="0.75" customHeight="1">
      <c r="A38" s="48" t="s">
        <v>27</v>
      </c>
      <c r="B38" s="44">
        <f>B$35+B$36</f>
        <v>29.163714473007843</v>
      </c>
      <c r="C38" s="47" t="str">
        <f>IF(B$13="in.","in. Hg @ 32°F",IF(B$13="in","in Hg @ 32°F",B$13&amp;" Hg @ 0°C"))</f>
        <v>in. Hg @ 32°F</v>
      </c>
    </row>
    <row r="39" spans="1:3" ht="15">
      <c r="A39" s="49" t="s">
        <v>45</v>
      </c>
      <c r="B39" s="50">
        <f>IF(B$13="mm",ROUND(B$35+B$36,2),IF(B$13="mb",ROUND(B$35+B$36,2),ROUND(B$35+B$36,3)))</f>
        <v>29.164</v>
      </c>
      <c r="C39" s="51" t="str">
        <f>IF(B$13="in.","in. Hg @ 32°F",IF(B$13="in","in Hg @ 32°F",IF(B$13="mb",B$13,IF(B$13="kPa",B$13,B$13&amp;" Hg @ 0°C"))))</f>
        <v>in. Hg @ 32°F</v>
      </c>
    </row>
    <row r="40" spans="1:3" ht="0.75" customHeight="1">
      <c r="A40" s="43" t="s">
        <v>28</v>
      </c>
      <c r="B40" s="44">
        <f>IF(B$18="feet",((1-POWER(B$38/B$27,1/5.2561))*288.16/0.0065)/(12*0.0254),IF(B$18="meters",(1-POWER(B$38/B$27,1/5.2561))*288.16/0.0065,IF(B$18="metres",(1-POWER(B$38/B$27,1/5.2561))*288.16/0.0065,(1-POWER(B$38/B$27,1/5.2561))*288.16/0.0065)))</f>
        <v>707.6547088622514</v>
      </c>
      <c r="C40" s="45" t="str">
        <f>IF(B$18="feet",B$18,IF(B$18="meters",B$18,IF(B$18="metres",B$18,"Units?")))</f>
        <v>feet</v>
      </c>
    </row>
    <row r="41" spans="1:3" ht="16.5" customHeight="1">
      <c r="A41" s="43" t="s">
        <v>29</v>
      </c>
      <c r="B41" s="44">
        <f>IF(B$18="feet",ROUND(((1-POWER(B$38/B$27,1/5.2561))*288.16/0.0065)/(12*0.0254),0),ROUND((1-POWER(B$38/B$27,1/5.2561))*288.16/0.0065,1))</f>
        <v>708</v>
      </c>
      <c r="C41" s="45" t="str">
        <f>IF(B$18="feet",B$18,IF(B$18="meters",B$18,IF(B$18="metres",B$18,"Units?")))</f>
        <v>feet</v>
      </c>
    </row>
    <row r="42" spans="1:3" ht="12.75" customHeight="1">
      <c r="A42" s="43" t="s">
        <v>30</v>
      </c>
      <c r="B42" s="46">
        <f>-B$17</f>
        <v>-243</v>
      </c>
      <c r="C42" s="45" t="str">
        <f>B$18</f>
        <v>feet</v>
      </c>
    </row>
    <row r="43" spans="1:3" ht="0.75" customHeight="1">
      <c r="A43" s="43" t="s">
        <v>31</v>
      </c>
      <c r="B43" s="44">
        <f>B$40+B$42</f>
        <v>464.65470886225137</v>
      </c>
      <c r="C43" s="45" t="str">
        <f>B$18</f>
        <v>feet</v>
      </c>
    </row>
    <row r="44" spans="1:3" ht="12.75" customHeight="1">
      <c r="A44" s="43" t="s">
        <v>32</v>
      </c>
      <c r="B44" s="44">
        <f>IF(B$18="feet",ROUND(B$40+B$42,0),ROUND(B$40+B$42,1))</f>
        <v>465</v>
      </c>
      <c r="C44" s="45" t="str">
        <f>B$18</f>
        <v>feet</v>
      </c>
    </row>
    <row r="45" spans="1:3" ht="15">
      <c r="A45" s="48" t="s">
        <v>46</v>
      </c>
      <c r="B45" s="52">
        <f>IF(B$13="mm",ROUND(IF(B$18="feet",B$27*POWER(1-0.0065*B$43*12*0.0254/288.16,5.2561),IF(B$18="meters",B$27*POWER(1-0.0065*B$43/288.16,5.2561),IF(B$18="metres",B$27*POWER(1-0.0065*B$43/288.16,5.2561),"Units?"))),2),IF(B$13="mb",ROUND(IF(B$18="feet",B$27*POWER(1-0.0065*B$43*12*0.0254/288.16,5.2561),IF(B$18="meters",B$27*POWER(1-0.0065*B$43/288.16,5.2561),IF(B$18="metres",B$27*POWER(1-0.0065*B$43/288.16,5.2561),"Units?"))),2),ROUND(IF(B$18="feet",B$27*POWER(1-0.0065*B$43*12*0.0254/288.16,5.2561),IF(B$18="meters",B$27*POWER(1-0.0065*B$43/288.16,5.2561),IF(B$18="metres",B$27*POWER(1-0.0065*B$43/288.16,5.2561),"Units?"))),3)))</f>
        <v>29.422</v>
      </c>
      <c r="C45" s="51" t="str">
        <f>IF(B$13="in.","in. Hg @ 32°F",IF(B$13="in","in Hg @ 32°F",IF(B$13="mb",B$13,IF(B$13="kPa",B$13,B$13&amp;" Hg @ 0°C"))))</f>
        <v>in. Hg @ 32°F</v>
      </c>
    </row>
    <row r="46" spans="1:3" ht="18" customHeight="1">
      <c r="A46" s="53" t="s">
        <v>33</v>
      </c>
      <c r="B46" s="54"/>
      <c r="C46" s="55"/>
    </row>
    <row r="47" spans="1:3" ht="12.75" customHeight="1">
      <c r="A47" s="56"/>
      <c r="B47" s="57"/>
      <c r="C47" s="57"/>
    </row>
  </sheetData>
  <sheetProtection password="A0D9" sheet="1" objects="1" scenarios="1"/>
  <mergeCells count="7">
    <mergeCell ref="A1:C1"/>
    <mergeCell ref="A2:C2"/>
    <mergeCell ref="A6:C6"/>
    <mergeCell ref="A8:C8"/>
    <mergeCell ref="A7:C7"/>
    <mergeCell ref="A3:C3"/>
    <mergeCell ref="A4:C4"/>
  </mergeCells>
  <printOptions horizontalCentered="1" verticalCentered="1"/>
  <pageMargins left="1.2" right="1" top="0.25" bottom="0.25" header="0.75" footer="0.1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Loewenstern</dc:creator>
  <cp:keywords/>
  <dc:description/>
  <cp:lastModifiedBy>Ken Loewenstern</cp:lastModifiedBy>
  <dcterms:created xsi:type="dcterms:W3CDTF">2000-03-07T02:22:31Z</dcterms:created>
  <dcterms:modified xsi:type="dcterms:W3CDTF">2000-03-07T02:23:49Z</dcterms:modified>
  <cp:category/>
  <cp:version/>
  <cp:contentType/>
  <cp:contentStatus/>
</cp:coreProperties>
</file>